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2"/>
  </bookViews>
  <sheets>
    <sheet name="GU" sheetId="1" r:id="rId1"/>
    <sheet name="Calcule hidraulice" sheetId="2" r:id="rId2"/>
    <sheet name="Sheet1" sheetId="3" r:id="rId3"/>
  </sheets>
  <definedNames/>
  <calcPr fullCalcOnLoad="1"/>
</workbook>
</file>

<file path=xl/comments2.xml><?xml version="1.0" encoding="utf-8"?>
<comments xmlns="http://schemas.openxmlformats.org/spreadsheetml/2006/main">
  <authors>
    <author>Caziuc Stefan</author>
  </authors>
  <commentList>
    <comment ref="U2" authorId="0">
      <text>
        <r>
          <rPr>
            <sz val="9"/>
            <rFont val="Tahoma"/>
            <family val="2"/>
          </rPr>
          <t>Adancimea sapaturii</t>
        </r>
      </text>
    </comment>
    <comment ref="K2" authorId="0">
      <text>
        <r>
          <rPr>
            <sz val="9"/>
            <rFont val="Tahoma"/>
            <family val="2"/>
          </rPr>
          <t>Debit la sectiune plina</t>
        </r>
      </text>
    </comment>
    <comment ref="L2" authorId="0">
      <text>
        <r>
          <rPr>
            <sz val="9"/>
            <rFont val="Tahoma"/>
            <family val="2"/>
          </rPr>
          <t>Viteza la sectiune plina</t>
        </r>
      </text>
    </comment>
  </commentList>
</comments>
</file>

<file path=xl/sharedStrings.xml><?xml version="1.0" encoding="utf-8"?>
<sst xmlns="http://schemas.openxmlformats.org/spreadsheetml/2006/main" count="197" uniqueCount="153">
  <si>
    <t>BREVIAR DE CALCUL</t>
  </si>
  <si>
    <t>1. Debite caracteristice ale necesarului de apă</t>
  </si>
  <si>
    <t>2. Debite cerinţă apă</t>
  </si>
  <si>
    <t>2.1. Qzimed s = Kp x Ks x Qzimed n =</t>
  </si>
  <si>
    <t>3. Debite apă uzată menajeră</t>
  </si>
  <si>
    <t>Conform STAS 1846-1/2006 Qu = Qs</t>
  </si>
  <si>
    <t>3.1. Qu zimed =</t>
  </si>
  <si>
    <t>3.4. Qu o min =</t>
  </si>
  <si>
    <t>3.3. Qu o max =</t>
  </si>
  <si>
    <t>3.2. Qu zi max =</t>
  </si>
  <si>
    <t>4. Staţia de epurare</t>
  </si>
  <si>
    <t>Se va monta o staţie de epurare compactă cu nitrificare-denitrificare şi stabilizare aerobă a nămolului.</t>
  </si>
  <si>
    <t>Pentru apele uzate menajere s-au luat în calcul următorii indicatori fizico-chimici:</t>
  </si>
  <si>
    <t>Materii în suspensie:</t>
  </si>
  <si>
    <t>Cantităţi de CBO5</t>
  </si>
  <si>
    <t>Caracteristici fizico-chimici ale apelor brute:</t>
  </si>
  <si>
    <t>l/s</t>
  </si>
  <si>
    <t>Suspensii</t>
  </si>
  <si>
    <t>Kg/zi</t>
  </si>
  <si>
    <t>mg/l</t>
  </si>
  <si>
    <t>Consumatori</t>
  </si>
  <si>
    <t>Q, S, CBO5</t>
  </si>
  <si>
    <t>Qo max</t>
  </si>
  <si>
    <t>CBO5</t>
  </si>
  <si>
    <t>Apa uzata de la</t>
  </si>
  <si>
    <t>Eficienţa treptei de epurare biologică după criteriul  OBN5</t>
  </si>
  <si>
    <t xml:space="preserve">Încărcarea în OBN5 a apelor uzate influente în staţia de epurare: </t>
  </si>
  <si>
    <t>LOBN5 =</t>
  </si>
  <si>
    <t>Reducerea OBN5 în treapta mecanică conform prevederilor normativului NP 032-1999 este 30%</t>
  </si>
  <si>
    <t>Gradul de epurare total pentru staţia de epurare după criteriul OBN5 impus în condiţiie de evacuare:</t>
  </si>
  <si>
    <t>Gradul de epurare necesar treptei de epurare biologică:</t>
  </si>
  <si>
    <t>Dimensionarea bazinului de omogenizare:</t>
  </si>
  <si>
    <t>V = 0,3 x Qu zimax =</t>
  </si>
  <si>
    <t>Se adoptă bazin de omogenizare cu V =</t>
  </si>
  <si>
    <t>locuitori</t>
  </si>
  <si>
    <t>l/om zi</t>
  </si>
  <si>
    <t>mc/zi</t>
  </si>
  <si>
    <t>cu preparare individuală a apei calde.</t>
  </si>
  <si>
    <t>Kzi</t>
  </si>
  <si>
    <t>Ko</t>
  </si>
  <si>
    <t>Kp</t>
  </si>
  <si>
    <t>Ks</t>
  </si>
  <si>
    <t>=</t>
  </si>
  <si>
    <t>S = (70gr/loc x N) / (Qu o max 86400) =</t>
  </si>
  <si>
    <t>gr/l =</t>
  </si>
  <si>
    <t>S = 0,070 x N loc =</t>
  </si>
  <si>
    <t>kg/zi</t>
  </si>
  <si>
    <t>CBO5=(65gr/loc x N)/(Qomax x 86400)=</t>
  </si>
  <si>
    <t>CBO5 = 0,065 x N =</t>
  </si>
  <si>
    <t xml:space="preserve">LOBN5 = </t>
  </si>
  <si>
    <t>x (1-0,3) =</t>
  </si>
  <si>
    <t xml:space="preserve">Cantitatea de substanţă biodegradabilă exprimată în OBN5 a efluentului staţiei de epurare conform </t>
  </si>
  <si>
    <t>concentraţiei admise:</t>
  </si>
  <si>
    <t xml:space="preserve">LOBN5 = (20gr x </t>
  </si>
  <si>
    <t>mc/zi) / 1000gr/kg =</t>
  </si>
  <si>
    <t>-</t>
  </si>
  <si>
    <t xml:space="preserve"> ) /</t>
  </si>
  <si>
    <t xml:space="preserve"> x 100  = </t>
  </si>
  <si>
    <t>%</t>
  </si>
  <si>
    <t>η’' tot   =   (</t>
  </si>
  <si>
    <t>η’ tot    =  (</t>
  </si>
  <si>
    <t>0,3 x</t>
  </si>
  <si>
    <t>mc</t>
  </si>
  <si>
    <t>mc/h=</t>
  </si>
  <si>
    <t>1.1. Qzimed n = (N x qg) / 1000 =</t>
  </si>
  <si>
    <t>1.2. Qzimax n = Kzi x Qzimed n =</t>
  </si>
  <si>
    <t xml:space="preserve">2.3. Qomax = (Ko x Qzimax s ) / 24  =  </t>
  </si>
  <si>
    <t>Debit specific de apă qg =</t>
  </si>
  <si>
    <t>1.3. Qo max n = (Ko x Qzi) / 24 =</t>
  </si>
  <si>
    <t xml:space="preserve">2.4. Qomin = (0,10 x Qzimax s) / 24 =  </t>
  </si>
  <si>
    <t>Breviarul de calcul s-a întocmit conform prevederilor SR 1343-1/2006 şi SR 1846-1/2006.</t>
  </si>
  <si>
    <t>Nr. crt.</t>
  </si>
  <si>
    <t>DN sau H (mm)</t>
  </si>
  <si>
    <t>a - grad de umplere</t>
  </si>
  <si>
    <t>1</t>
  </si>
  <si>
    <t>2</t>
  </si>
  <si>
    <t>3</t>
  </si>
  <si>
    <t>4</t>
  </si>
  <si>
    <t>&lt;</t>
  </si>
  <si>
    <t>&gt;</t>
  </si>
  <si>
    <t>*</t>
  </si>
  <si>
    <t>Grad de umplere funtie de DN sau H canal</t>
  </si>
  <si>
    <t>Tronson</t>
  </si>
  <si>
    <t>CV1-CV2</t>
  </si>
  <si>
    <t>CV2-CV3</t>
  </si>
  <si>
    <t>CV3-CV4</t>
  </si>
  <si>
    <t>CV4-CV5</t>
  </si>
  <si>
    <t>CV5-CV6</t>
  </si>
  <si>
    <t>CV6-CV7</t>
  </si>
  <si>
    <t>CV7-CV8</t>
  </si>
  <si>
    <t>CV8-CV9</t>
  </si>
  <si>
    <t>CV9-CV10</t>
  </si>
  <si>
    <t>CV10-CV11</t>
  </si>
  <si>
    <t>CV11-CV12</t>
  </si>
  <si>
    <t>CV12-CV13</t>
  </si>
  <si>
    <t>CV13-CV14</t>
  </si>
  <si>
    <t>CV14-CV15</t>
  </si>
  <si>
    <t>CV15-CV16</t>
  </si>
  <si>
    <t>CV16-CV17</t>
  </si>
  <si>
    <t>CV17-CV18</t>
  </si>
  <si>
    <t>CV18-CV19</t>
  </si>
  <si>
    <t>CV19-CV20</t>
  </si>
  <si>
    <t>CV20-CV21</t>
  </si>
  <si>
    <t>CV21-CV22</t>
  </si>
  <si>
    <t>CV22-CV23</t>
  </si>
  <si>
    <t>CALCUL COLECTOARE MENAJERE</t>
  </si>
  <si>
    <t>CV23-SP4</t>
  </si>
  <si>
    <t>COLECTORUL 1</t>
  </si>
  <si>
    <t>Q tronson</t>
  </si>
  <si>
    <t>(l/s)</t>
  </si>
  <si>
    <t>Q lateral</t>
  </si>
  <si>
    <t>Q amonte</t>
  </si>
  <si>
    <t>(mm)</t>
  </si>
  <si>
    <t>(m/s)</t>
  </si>
  <si>
    <r>
      <rPr>
        <b/>
        <sz val="9"/>
        <rFont val="Calibri"/>
        <family val="2"/>
      </rPr>
      <t xml:space="preserve">α </t>
    </r>
    <r>
      <rPr>
        <b/>
        <sz val="10.35"/>
        <rFont val="Times New Roman"/>
        <family val="1"/>
      </rPr>
      <t xml:space="preserve">= </t>
    </r>
    <r>
      <rPr>
        <b/>
        <sz val="9"/>
        <rFont val="Times New Roman"/>
        <family val="1"/>
      </rPr>
      <t>Quz/Qpl</t>
    </r>
  </si>
  <si>
    <t>β = Vef/Vpl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</si>
  <si>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</si>
  <si>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</si>
  <si>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</si>
  <si>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</si>
  <si>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</si>
  <si>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</si>
  <si>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</si>
  <si>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</si>
  <si>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</si>
  <si>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</si>
  <si>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</si>
  <si>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</si>
  <si>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a = h/DN</t>
  </si>
  <si>
    <t>ΔH = ir*L</t>
  </si>
  <si>
    <t>Vef = β*Vpl</t>
  </si>
  <si>
    <t>h = a*DN</t>
  </si>
  <si>
    <t>Cote</t>
  </si>
  <si>
    <t>Pante</t>
  </si>
  <si>
    <t>Radier iR</t>
  </si>
  <si>
    <t>Teren iT</t>
  </si>
  <si>
    <t>17</t>
  </si>
  <si>
    <t>18</t>
  </si>
  <si>
    <t>Hs</t>
  </si>
  <si>
    <t>(m)</t>
  </si>
  <si>
    <t>Teren</t>
  </si>
  <si>
    <t>Radier</t>
  </si>
  <si>
    <t>19</t>
  </si>
  <si>
    <t>Quz total</t>
  </si>
  <si>
    <t>L</t>
  </si>
  <si>
    <t>DN</t>
  </si>
  <si>
    <t>Q pl</t>
  </si>
  <si>
    <t>V pl</t>
  </si>
  <si>
    <t>Nr. locuitori =</t>
  </si>
  <si>
    <t>2.2. Qzimax s = Kzi x Qzimed s =</t>
  </si>
  <si>
    <t>Concentraţiile în OBN5 a efluentului staţiei de epurare conform NTA 001/2002 şi HG 352/2005 = 20mg/l.</t>
  </si>
  <si>
    <t xml:space="preserve">Ipoteză de calcul: S-a considerat ca gospodăriile vor fi dotate cu instalaţii de apă rece, caldă şi canalizare </t>
  </si>
  <si>
    <t>mc/h   =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</si>
</sst>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0.0"/>
    <numFmt numFmtId="181" formatCode="#,##0.000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UniversalMath1 BT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</font>
    <font>
      <b/>
      <sz val="10.35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2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3" borderId="0" xfId="0" applyFont="1" applyFill="1" applyAlignment="1">
      <alignment horizontal="center" wrapText="1" shrinkToFit="1"/>
    </xf>
    <xf numFmtId="0" fontId="8" fillId="34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16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9" fontId="9" fillId="11" borderId="10" xfId="0" applyNumberFormat="1" applyFont="1" applyFill="1" applyBorder="1" applyAlignment="1" quotePrefix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 quotePrefix="1">
      <alignment horizontal="center" vertical="center"/>
    </xf>
    <xf numFmtId="4" fontId="9" fillId="0" borderId="10" xfId="0" applyNumberFormat="1" applyFont="1" applyFill="1" applyBorder="1" applyAlignment="1" quotePrefix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quotePrefix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52" fillId="30" borderId="1" xfId="54" applyFont="1" applyAlignment="1">
      <alignment/>
    </xf>
    <xf numFmtId="0" fontId="31" fillId="0" borderId="0" xfId="0" applyFont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178" fontId="31" fillId="0" borderId="0" xfId="0" applyNumberFormat="1" applyFont="1" applyAlignment="1">
      <alignment/>
    </xf>
    <xf numFmtId="0" fontId="31" fillId="0" borderId="0" xfId="0" applyFont="1" applyAlignment="1" quotePrefix="1">
      <alignment horizontal="center"/>
    </xf>
    <xf numFmtId="0" fontId="31" fillId="0" borderId="0" xfId="0" applyFont="1" applyAlignment="1">
      <alignment horizontal="left"/>
    </xf>
    <xf numFmtId="4" fontId="31" fillId="0" borderId="0" xfId="0" applyNumberFormat="1" applyFont="1" applyAlignment="1">
      <alignment horizontal="right"/>
    </xf>
    <xf numFmtId="0" fontId="32" fillId="0" borderId="18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178" fontId="32" fillId="0" borderId="19" xfId="0" applyNumberFormat="1" applyFont="1" applyFill="1" applyBorder="1" applyAlignment="1">
      <alignment/>
    </xf>
    <xf numFmtId="0" fontId="32" fillId="0" borderId="20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8" fontId="32" fillId="0" borderId="0" xfId="0" applyNumberFormat="1" applyFont="1" applyFill="1" applyBorder="1" applyAlignment="1">
      <alignment/>
    </xf>
    <xf numFmtId="0" fontId="32" fillId="0" borderId="22" xfId="0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2" fillId="0" borderId="24" xfId="0" applyFont="1" applyFill="1" applyBorder="1" applyAlignment="1">
      <alignment/>
    </xf>
    <xf numFmtId="178" fontId="32" fillId="0" borderId="24" xfId="0" applyNumberFormat="1" applyFont="1" applyFill="1" applyBorder="1" applyAlignment="1">
      <alignment/>
    </xf>
    <xf numFmtId="0" fontId="32" fillId="0" borderId="25" xfId="0" applyFont="1" applyFill="1" applyBorder="1" applyAlignment="1">
      <alignment/>
    </xf>
    <xf numFmtId="0" fontId="34" fillId="0" borderId="0" xfId="0" applyFont="1" applyAlignment="1">
      <alignment/>
    </xf>
    <xf numFmtId="179" fontId="31" fillId="0" borderId="0" xfId="0" applyNumberFormat="1" applyFont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0" fontId="32" fillId="0" borderId="26" xfId="0" applyFont="1" applyBorder="1" applyAlignment="1">
      <alignment/>
    </xf>
    <xf numFmtId="0" fontId="32" fillId="0" borderId="27" xfId="0" applyFont="1" applyBorder="1" applyAlignment="1">
      <alignment/>
    </xf>
    <xf numFmtId="0" fontId="32" fillId="0" borderId="28" xfId="0" applyFont="1" applyBorder="1" applyAlignment="1">
      <alignment/>
    </xf>
    <xf numFmtId="0" fontId="32" fillId="0" borderId="29" xfId="0" applyFont="1" applyBorder="1" applyAlignment="1">
      <alignment/>
    </xf>
    <xf numFmtId="0" fontId="32" fillId="0" borderId="30" xfId="0" applyFont="1" applyBorder="1" applyAlignment="1">
      <alignment/>
    </xf>
    <xf numFmtId="0" fontId="32" fillId="0" borderId="31" xfId="0" applyFont="1" applyBorder="1" applyAlignment="1">
      <alignment/>
    </xf>
    <xf numFmtId="0" fontId="32" fillId="0" borderId="32" xfId="0" applyFont="1" applyBorder="1" applyAlignment="1">
      <alignment/>
    </xf>
    <xf numFmtId="0" fontId="32" fillId="0" borderId="33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1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31" fillId="0" borderId="36" xfId="0" applyFont="1" applyBorder="1" applyAlignment="1">
      <alignment/>
    </xf>
    <xf numFmtId="0" fontId="32" fillId="0" borderId="0" xfId="0" applyFont="1" applyAlignment="1">
      <alignment/>
    </xf>
    <xf numFmtId="178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/>
    </xf>
    <xf numFmtId="0" fontId="31" fillId="0" borderId="0" xfId="0" applyFont="1" applyAlignment="1" quotePrefix="1">
      <alignment/>
    </xf>
    <xf numFmtId="0" fontId="34" fillId="0" borderId="0" xfId="0" applyFont="1" applyFill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 textRotation="90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19" borderId="14" xfId="0" applyFont="1" applyFill="1" applyBorder="1" applyAlignment="1">
      <alignment vertical="center"/>
    </xf>
    <xf numFmtId="0" fontId="8" fillId="19" borderId="15" xfId="0" applyFont="1" applyFill="1" applyBorder="1" applyAlignment="1">
      <alignment vertical="center"/>
    </xf>
    <xf numFmtId="0" fontId="8" fillId="19" borderId="16" xfId="0" applyFont="1" applyFill="1" applyBorder="1" applyAlignment="1">
      <alignment vertical="center"/>
    </xf>
    <xf numFmtId="0" fontId="8" fillId="34" borderId="39" xfId="0" applyFont="1" applyFill="1" applyBorder="1" applyAlignment="1">
      <alignment horizontal="center" vertical="center" wrapText="1" shrinkToFit="1"/>
    </xf>
    <xf numFmtId="0" fontId="8" fillId="34" borderId="17" xfId="0" applyFont="1" applyFill="1" applyBorder="1" applyAlignment="1">
      <alignment horizontal="center" vertical="center" wrapText="1" shrinkToFi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 quotePrefix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 wrapText="1" shrinkToFit="1"/>
    </xf>
    <xf numFmtId="0" fontId="8" fillId="34" borderId="38" xfId="0" applyFont="1" applyFill="1" applyBorder="1" applyAlignment="1">
      <alignment horizontal="center" vertical="center" wrapText="1" shrinkToFit="1"/>
    </xf>
    <xf numFmtId="0" fontId="8" fillId="34" borderId="40" xfId="0" applyFont="1" applyFill="1" applyBorder="1" applyAlignment="1">
      <alignment horizontal="center" vertical="center" wrapText="1" shrinkToFit="1"/>
    </xf>
    <xf numFmtId="0" fontId="8" fillId="34" borderId="41" xfId="0" applyFont="1" applyFill="1" applyBorder="1" applyAlignment="1">
      <alignment horizontal="center" vertical="center" wrapText="1" shrinkToFit="1"/>
    </xf>
    <xf numFmtId="0" fontId="8" fillId="34" borderId="11" xfId="0" applyFont="1" applyFill="1" applyBorder="1" applyAlignment="1">
      <alignment horizontal="center" vertical="center" wrapText="1" shrinkToFit="1"/>
    </xf>
    <xf numFmtId="0" fontId="8" fillId="34" borderId="13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2" fillId="0" borderId="1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4" fontId="31" fillId="0" borderId="43" xfId="0" applyNumberFormat="1" applyFont="1" applyBorder="1" applyAlignment="1">
      <alignment horizontal="center"/>
    </xf>
    <xf numFmtId="4" fontId="31" fillId="0" borderId="36" xfId="0" applyNumberFormat="1" applyFont="1" applyBorder="1" applyAlignment="1">
      <alignment horizontal="center"/>
    </xf>
    <xf numFmtId="3" fontId="31" fillId="0" borderId="43" xfId="0" applyNumberFormat="1" applyFont="1" applyBorder="1" applyAlignment="1">
      <alignment horizontal="center"/>
    </xf>
    <xf numFmtId="3" fontId="31" fillId="0" borderId="36" xfId="0" applyNumberFormat="1" applyFont="1" applyBorder="1" applyAlignment="1">
      <alignment horizontal="center"/>
    </xf>
    <xf numFmtId="3" fontId="31" fillId="0" borderId="44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5.140625" style="1" customWidth="1"/>
    <col min="2" max="2" width="6.28125" style="1" customWidth="1"/>
    <col min="3" max="3" width="2.140625" style="1" bestFit="1" customWidth="1"/>
    <col min="4" max="4" width="6.28125" style="1" customWidth="1"/>
    <col min="5" max="5" width="3.140625" style="1" bestFit="1" customWidth="1"/>
    <col min="6" max="6" width="15.7109375" style="1" customWidth="1"/>
  </cols>
  <sheetData>
    <row r="1" spans="1:6" ht="24" customHeight="1">
      <c r="A1" s="89" t="s">
        <v>81</v>
      </c>
      <c r="B1" s="89"/>
      <c r="C1" s="89"/>
      <c r="D1" s="89"/>
      <c r="E1" s="89"/>
      <c r="F1" s="89"/>
    </row>
    <row r="2" spans="1:6" ht="25.5" customHeight="1">
      <c r="A2" s="12" t="s">
        <v>71</v>
      </c>
      <c r="B2" s="84" t="s">
        <v>72</v>
      </c>
      <c r="C2" s="85"/>
      <c r="D2" s="86"/>
      <c r="E2" s="87" t="s">
        <v>73</v>
      </c>
      <c r="F2" s="88"/>
    </row>
    <row r="3" spans="1:6" ht="14.25" customHeight="1">
      <c r="A3" s="2" t="s">
        <v>74</v>
      </c>
      <c r="B3" s="7"/>
      <c r="C3" s="8" t="s">
        <v>78</v>
      </c>
      <c r="D3" s="9">
        <v>300</v>
      </c>
      <c r="E3" s="6" t="s">
        <v>80</v>
      </c>
      <c r="F3" s="11">
        <v>0.6</v>
      </c>
    </row>
    <row r="4" spans="1:6" ht="14.25" customHeight="1">
      <c r="A4" s="2" t="s">
        <v>75</v>
      </c>
      <c r="B4" s="3">
        <v>350</v>
      </c>
      <c r="C4" s="10" t="s">
        <v>55</v>
      </c>
      <c r="D4" s="5">
        <v>450</v>
      </c>
      <c r="E4" s="6" t="s">
        <v>80</v>
      </c>
      <c r="F4" s="11">
        <v>0.7</v>
      </c>
    </row>
    <row r="5" spans="1:6" ht="14.25" customHeight="1">
      <c r="A5" s="2" t="s">
        <v>76</v>
      </c>
      <c r="B5" s="3">
        <v>500</v>
      </c>
      <c r="C5" s="10" t="s">
        <v>55</v>
      </c>
      <c r="D5" s="5">
        <v>900</v>
      </c>
      <c r="E5" s="6" t="s">
        <v>80</v>
      </c>
      <c r="F5" s="11">
        <v>0.75</v>
      </c>
    </row>
    <row r="6" spans="1:6" ht="14.25" customHeight="1">
      <c r="A6" s="2" t="s">
        <v>77</v>
      </c>
      <c r="B6" s="3">
        <v>900</v>
      </c>
      <c r="C6" s="4" t="s">
        <v>79</v>
      </c>
      <c r="D6" s="5"/>
      <c r="E6" s="6" t="s">
        <v>80</v>
      </c>
      <c r="F6" s="11">
        <v>0.8</v>
      </c>
    </row>
  </sheetData>
  <sheetProtection/>
  <mergeCells count="3">
    <mergeCell ref="B2:D2"/>
    <mergeCell ref="E2:F2"/>
    <mergeCell ref="A1:F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="115" zoomScaleNormal="115" zoomScalePageLayoutView="0" workbookViewId="0" topLeftCell="A1">
      <selection activeCell="A7" sqref="A7:A29"/>
    </sheetView>
  </sheetViews>
  <sheetFormatPr defaultColWidth="9.140625" defaultRowHeight="12.75"/>
  <cols>
    <col min="1" max="1" width="6.00390625" style="13" customWidth="1"/>
    <col min="2" max="2" width="10.8515625" style="13" customWidth="1"/>
    <col min="3" max="3" width="5.28125" style="13" customWidth="1"/>
    <col min="4" max="7" width="6.7109375" style="13" customWidth="1"/>
    <col min="8" max="8" width="6.28125" style="13" bestFit="1" customWidth="1"/>
    <col min="9" max="9" width="6.28125" style="13" customWidth="1"/>
    <col min="10" max="10" width="7.140625" style="13" bestFit="1" customWidth="1"/>
    <col min="11" max="11" width="9.421875" style="13" customWidth="1"/>
    <col min="12" max="12" width="8.28125" style="13" customWidth="1"/>
    <col min="13" max="14" width="8.8515625" style="13" customWidth="1"/>
    <col min="15" max="15" width="6.57421875" style="13" customWidth="1"/>
    <col min="16" max="16" width="6.57421875" style="13" bestFit="1" customWidth="1"/>
    <col min="17" max="17" width="8.00390625" style="13" customWidth="1"/>
    <col min="18" max="18" width="10.28125" style="13" customWidth="1"/>
    <col min="19" max="20" width="7.8515625" style="13" customWidth="1"/>
    <col min="21" max="16384" width="9.140625" style="13" customWidth="1"/>
  </cols>
  <sheetData>
    <row r="1" spans="11:18" ht="36" customHeight="1">
      <c r="K1" s="14" t="s">
        <v>105</v>
      </c>
      <c r="Q1" s="109"/>
      <c r="R1" s="109"/>
    </row>
    <row r="2" spans="1:21" s="16" customFormat="1" ht="31.5" customHeight="1">
      <c r="A2" s="103" t="s">
        <v>82</v>
      </c>
      <c r="B2" s="104"/>
      <c r="C2" s="91" t="s">
        <v>144</v>
      </c>
      <c r="D2" s="95" t="s">
        <v>108</v>
      </c>
      <c r="E2" s="95" t="s">
        <v>110</v>
      </c>
      <c r="F2" s="95" t="s">
        <v>111</v>
      </c>
      <c r="G2" s="95" t="s">
        <v>143</v>
      </c>
      <c r="H2" s="91" t="s">
        <v>133</v>
      </c>
      <c r="I2" s="91"/>
      <c r="J2" s="95" t="s">
        <v>145</v>
      </c>
      <c r="K2" s="95" t="s">
        <v>146</v>
      </c>
      <c r="L2" s="95" t="s">
        <v>147</v>
      </c>
      <c r="M2" s="97" t="s">
        <v>114</v>
      </c>
      <c r="N2" s="99" t="s">
        <v>115</v>
      </c>
      <c r="O2" s="91" t="s">
        <v>128</v>
      </c>
      <c r="P2" s="95" t="s">
        <v>131</v>
      </c>
      <c r="Q2" s="99" t="s">
        <v>130</v>
      </c>
      <c r="R2" s="95" t="s">
        <v>129</v>
      </c>
      <c r="S2" s="91" t="s">
        <v>132</v>
      </c>
      <c r="T2" s="91"/>
      <c r="U2" s="95" t="s">
        <v>138</v>
      </c>
    </row>
    <row r="3" spans="1:21" s="18" customFormat="1" ht="31.5" customHeight="1">
      <c r="A3" s="105"/>
      <c r="B3" s="106"/>
      <c r="C3" s="110"/>
      <c r="D3" s="96"/>
      <c r="E3" s="96"/>
      <c r="F3" s="96"/>
      <c r="G3" s="96"/>
      <c r="H3" s="15" t="s">
        <v>135</v>
      </c>
      <c r="I3" s="15" t="s">
        <v>134</v>
      </c>
      <c r="J3" s="96"/>
      <c r="K3" s="96"/>
      <c r="L3" s="96"/>
      <c r="M3" s="98"/>
      <c r="N3" s="100"/>
      <c r="O3" s="91"/>
      <c r="P3" s="96"/>
      <c r="Q3" s="100"/>
      <c r="R3" s="96"/>
      <c r="S3" s="29" t="s">
        <v>140</v>
      </c>
      <c r="T3" s="29" t="s">
        <v>141</v>
      </c>
      <c r="U3" s="96"/>
    </row>
    <row r="4" spans="1:21" s="18" customFormat="1" ht="12.75">
      <c r="A4" s="107"/>
      <c r="B4" s="108"/>
      <c r="C4" s="28" t="s">
        <v>139</v>
      </c>
      <c r="D4" s="28" t="s">
        <v>109</v>
      </c>
      <c r="E4" s="28" t="s">
        <v>109</v>
      </c>
      <c r="F4" s="28" t="s">
        <v>109</v>
      </c>
      <c r="G4" s="28" t="s">
        <v>109</v>
      </c>
      <c r="H4" s="15"/>
      <c r="I4" s="15"/>
      <c r="J4" s="17" t="s">
        <v>112</v>
      </c>
      <c r="K4" s="28" t="s">
        <v>109</v>
      </c>
      <c r="L4" s="28" t="s">
        <v>113</v>
      </c>
      <c r="M4" s="31"/>
      <c r="N4" s="32"/>
      <c r="O4" s="15"/>
      <c r="P4" s="17" t="s">
        <v>112</v>
      </c>
      <c r="Q4" s="17" t="s">
        <v>113</v>
      </c>
      <c r="R4" s="17" t="s">
        <v>139</v>
      </c>
      <c r="S4" s="17" t="s">
        <v>139</v>
      </c>
      <c r="T4" s="17" t="s">
        <v>139</v>
      </c>
      <c r="U4" s="17" t="s">
        <v>139</v>
      </c>
    </row>
    <row r="5" spans="1:21" s="18" customFormat="1" ht="12.75">
      <c r="A5" s="101" t="s">
        <v>74</v>
      </c>
      <c r="B5" s="102"/>
      <c r="C5" s="33" t="s">
        <v>75</v>
      </c>
      <c r="D5" s="33" t="s">
        <v>76</v>
      </c>
      <c r="E5" s="33" t="s">
        <v>77</v>
      </c>
      <c r="F5" s="33" t="s">
        <v>116</v>
      </c>
      <c r="G5" s="33" t="s">
        <v>117</v>
      </c>
      <c r="H5" s="33" t="s">
        <v>118</v>
      </c>
      <c r="I5" s="33"/>
      <c r="J5" s="33" t="s">
        <v>119</v>
      </c>
      <c r="K5" s="33" t="s">
        <v>120</v>
      </c>
      <c r="L5" s="33" t="s">
        <v>121</v>
      </c>
      <c r="M5" s="33" t="s">
        <v>122</v>
      </c>
      <c r="N5" s="33" t="s">
        <v>123</v>
      </c>
      <c r="O5" s="33" t="s">
        <v>124</v>
      </c>
      <c r="P5" s="33" t="s">
        <v>125</v>
      </c>
      <c r="Q5" s="33" t="s">
        <v>126</v>
      </c>
      <c r="R5" s="33" t="s">
        <v>127</v>
      </c>
      <c r="S5" s="33" t="s">
        <v>136</v>
      </c>
      <c r="T5" s="33" t="s">
        <v>137</v>
      </c>
      <c r="U5" s="33" t="s">
        <v>142</v>
      </c>
    </row>
    <row r="6" spans="1:21" ht="23.25" customHeight="1">
      <c r="A6" s="92" t="s">
        <v>107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1:21" ht="12" customHeight="1">
      <c r="A7" s="90" t="str">
        <f>CONCATENATE("L total = ",SUM(C7:C29)," m")</f>
        <v>L total = 1150 m</v>
      </c>
      <c r="B7" s="19" t="s">
        <v>83</v>
      </c>
      <c r="C7" s="20">
        <v>50</v>
      </c>
      <c r="D7" s="26"/>
      <c r="E7" s="27"/>
      <c r="F7" s="21" t="s">
        <v>55</v>
      </c>
      <c r="G7" s="21">
        <f>SUM(D7:F7)</f>
        <v>0</v>
      </c>
      <c r="H7" s="20"/>
      <c r="I7" s="20"/>
      <c r="J7" s="20"/>
      <c r="K7" s="20"/>
      <c r="L7" s="20"/>
      <c r="M7" s="22" t="e">
        <f>G7/K7</f>
        <v>#DIV/0!</v>
      </c>
      <c r="N7" s="23"/>
      <c r="O7" s="23"/>
      <c r="P7" s="23"/>
      <c r="Q7" s="24"/>
      <c r="R7" s="20">
        <f>I7*C7</f>
        <v>0</v>
      </c>
      <c r="S7" s="30"/>
      <c r="T7" s="30"/>
      <c r="U7" s="30"/>
    </row>
    <row r="8" spans="1:21" ht="12" customHeight="1">
      <c r="A8" s="90"/>
      <c r="B8" s="19" t="s">
        <v>84</v>
      </c>
      <c r="C8" s="20">
        <v>50</v>
      </c>
      <c r="D8" s="26"/>
      <c r="E8" s="27"/>
      <c r="F8" s="21">
        <f>G7</f>
        <v>0</v>
      </c>
      <c r="G8" s="21">
        <f aca="true" t="shared" si="0" ref="G8:G29">SUM(D8:F8)</f>
        <v>0</v>
      </c>
      <c r="H8" s="20"/>
      <c r="I8" s="20"/>
      <c r="J8" s="20"/>
      <c r="K8" s="20"/>
      <c r="L8" s="20"/>
      <c r="M8" s="22" t="e">
        <f aca="true" t="shared" si="1" ref="M8:M29">G8/K8</f>
        <v>#DIV/0!</v>
      </c>
      <c r="N8" s="23"/>
      <c r="O8" s="23"/>
      <c r="P8" s="23"/>
      <c r="Q8" s="24"/>
      <c r="R8" s="20">
        <f aca="true" t="shared" si="2" ref="R8:R29">I8*C8</f>
        <v>0</v>
      </c>
      <c r="S8" s="30"/>
      <c r="T8" s="30"/>
      <c r="U8" s="30"/>
    </row>
    <row r="9" spans="1:21" ht="12" customHeight="1">
      <c r="A9" s="90"/>
      <c r="B9" s="25" t="s">
        <v>85</v>
      </c>
      <c r="C9" s="20">
        <v>50</v>
      </c>
      <c r="D9" s="26"/>
      <c r="E9" s="27"/>
      <c r="F9" s="21">
        <f aca="true" t="shared" si="3" ref="F9:F29">G8</f>
        <v>0</v>
      </c>
      <c r="G9" s="21">
        <f t="shared" si="0"/>
        <v>0</v>
      </c>
      <c r="H9" s="20"/>
      <c r="I9" s="20"/>
      <c r="J9" s="20"/>
      <c r="K9" s="20"/>
      <c r="L9" s="20"/>
      <c r="M9" s="22" t="e">
        <f t="shared" si="1"/>
        <v>#DIV/0!</v>
      </c>
      <c r="N9" s="23"/>
      <c r="O9" s="23"/>
      <c r="P9" s="23"/>
      <c r="Q9" s="24"/>
      <c r="R9" s="20">
        <f t="shared" si="2"/>
        <v>0</v>
      </c>
      <c r="S9" s="30"/>
      <c r="T9" s="30"/>
      <c r="U9" s="30"/>
    </row>
    <row r="10" spans="1:21" ht="12" customHeight="1">
      <c r="A10" s="90"/>
      <c r="B10" s="19" t="s">
        <v>86</v>
      </c>
      <c r="C10" s="20">
        <v>50</v>
      </c>
      <c r="D10" s="26"/>
      <c r="E10" s="27"/>
      <c r="F10" s="21">
        <f t="shared" si="3"/>
        <v>0</v>
      </c>
      <c r="G10" s="21">
        <f t="shared" si="0"/>
        <v>0</v>
      </c>
      <c r="H10" s="20"/>
      <c r="I10" s="20"/>
      <c r="J10" s="20"/>
      <c r="K10" s="20"/>
      <c r="L10" s="20"/>
      <c r="M10" s="22" t="e">
        <f t="shared" si="1"/>
        <v>#DIV/0!</v>
      </c>
      <c r="N10" s="23"/>
      <c r="O10" s="23"/>
      <c r="P10" s="23"/>
      <c r="Q10" s="24"/>
      <c r="R10" s="20">
        <f t="shared" si="2"/>
        <v>0</v>
      </c>
      <c r="S10" s="30"/>
      <c r="T10" s="30"/>
      <c r="U10" s="30"/>
    </row>
    <row r="11" spans="1:21" ht="12" customHeight="1">
      <c r="A11" s="90"/>
      <c r="B11" s="19" t="s">
        <v>87</v>
      </c>
      <c r="C11" s="20">
        <v>50</v>
      </c>
      <c r="D11" s="26"/>
      <c r="E11" s="27"/>
      <c r="F11" s="21">
        <f t="shared" si="3"/>
        <v>0</v>
      </c>
      <c r="G11" s="21">
        <f t="shared" si="0"/>
        <v>0</v>
      </c>
      <c r="H11" s="20"/>
      <c r="I11" s="20"/>
      <c r="J11" s="20"/>
      <c r="K11" s="20"/>
      <c r="L11" s="20"/>
      <c r="M11" s="22" t="e">
        <f t="shared" si="1"/>
        <v>#DIV/0!</v>
      </c>
      <c r="N11" s="23"/>
      <c r="O11" s="23"/>
      <c r="P11" s="23"/>
      <c r="Q11" s="24"/>
      <c r="R11" s="20">
        <f t="shared" si="2"/>
        <v>0</v>
      </c>
      <c r="S11" s="30"/>
      <c r="T11" s="30"/>
      <c r="U11" s="30"/>
    </row>
    <row r="12" spans="1:21" ht="12" customHeight="1">
      <c r="A12" s="90"/>
      <c r="B12" s="19" t="s">
        <v>88</v>
      </c>
      <c r="C12" s="20">
        <v>50</v>
      </c>
      <c r="D12" s="26"/>
      <c r="E12" s="27"/>
      <c r="F12" s="21">
        <f t="shared" si="3"/>
        <v>0</v>
      </c>
      <c r="G12" s="21">
        <f t="shared" si="0"/>
        <v>0</v>
      </c>
      <c r="H12" s="20"/>
      <c r="I12" s="20"/>
      <c r="J12" s="20"/>
      <c r="K12" s="20"/>
      <c r="L12" s="20"/>
      <c r="M12" s="22" t="e">
        <f t="shared" si="1"/>
        <v>#DIV/0!</v>
      </c>
      <c r="N12" s="23"/>
      <c r="O12" s="23"/>
      <c r="P12" s="23"/>
      <c r="Q12" s="24"/>
      <c r="R12" s="20">
        <f t="shared" si="2"/>
        <v>0</v>
      </c>
      <c r="S12" s="30"/>
      <c r="T12" s="30"/>
      <c r="U12" s="30"/>
    </row>
    <row r="13" spans="1:21" ht="12" customHeight="1">
      <c r="A13" s="90"/>
      <c r="B13" s="19" t="s">
        <v>89</v>
      </c>
      <c r="C13" s="20">
        <v>50</v>
      </c>
      <c r="D13" s="26"/>
      <c r="E13" s="27"/>
      <c r="F13" s="21">
        <f t="shared" si="3"/>
        <v>0</v>
      </c>
      <c r="G13" s="21">
        <f t="shared" si="0"/>
        <v>0</v>
      </c>
      <c r="H13" s="20"/>
      <c r="I13" s="20"/>
      <c r="J13" s="20"/>
      <c r="K13" s="20"/>
      <c r="L13" s="20"/>
      <c r="M13" s="22" t="e">
        <f t="shared" si="1"/>
        <v>#DIV/0!</v>
      </c>
      <c r="N13" s="23"/>
      <c r="O13" s="23"/>
      <c r="P13" s="23"/>
      <c r="Q13" s="24"/>
      <c r="R13" s="20">
        <f t="shared" si="2"/>
        <v>0</v>
      </c>
      <c r="S13" s="30"/>
      <c r="T13" s="30"/>
      <c r="U13" s="30"/>
    </row>
    <row r="14" spans="1:21" ht="12" customHeight="1">
      <c r="A14" s="90"/>
      <c r="B14" s="19" t="s">
        <v>90</v>
      </c>
      <c r="C14" s="20">
        <v>50</v>
      </c>
      <c r="D14" s="26"/>
      <c r="E14" s="27"/>
      <c r="F14" s="21">
        <f t="shared" si="3"/>
        <v>0</v>
      </c>
      <c r="G14" s="21">
        <f t="shared" si="0"/>
        <v>0</v>
      </c>
      <c r="H14" s="20"/>
      <c r="I14" s="20"/>
      <c r="J14" s="20"/>
      <c r="K14" s="20"/>
      <c r="L14" s="20"/>
      <c r="M14" s="22" t="e">
        <f t="shared" si="1"/>
        <v>#DIV/0!</v>
      </c>
      <c r="N14" s="23"/>
      <c r="O14" s="23"/>
      <c r="P14" s="23"/>
      <c r="Q14" s="24"/>
      <c r="R14" s="20">
        <f t="shared" si="2"/>
        <v>0</v>
      </c>
      <c r="S14" s="30"/>
      <c r="T14" s="30"/>
      <c r="U14" s="30"/>
    </row>
    <row r="15" spans="1:21" ht="12" customHeight="1">
      <c r="A15" s="90"/>
      <c r="B15" s="19" t="s">
        <v>91</v>
      </c>
      <c r="C15" s="20">
        <v>50</v>
      </c>
      <c r="D15" s="26"/>
      <c r="E15" s="27"/>
      <c r="F15" s="21">
        <f t="shared" si="3"/>
        <v>0</v>
      </c>
      <c r="G15" s="21">
        <f t="shared" si="0"/>
        <v>0</v>
      </c>
      <c r="H15" s="20"/>
      <c r="I15" s="20"/>
      <c r="J15" s="20"/>
      <c r="K15" s="20"/>
      <c r="L15" s="20"/>
      <c r="M15" s="22" t="e">
        <f t="shared" si="1"/>
        <v>#DIV/0!</v>
      </c>
      <c r="N15" s="23"/>
      <c r="O15" s="23"/>
      <c r="P15" s="23"/>
      <c r="Q15" s="24"/>
      <c r="R15" s="20">
        <f t="shared" si="2"/>
        <v>0</v>
      </c>
      <c r="S15" s="30"/>
      <c r="T15" s="30"/>
      <c r="U15" s="30"/>
    </row>
    <row r="16" spans="1:21" ht="12" customHeight="1">
      <c r="A16" s="90"/>
      <c r="B16" s="19" t="s">
        <v>92</v>
      </c>
      <c r="C16" s="20">
        <v>50</v>
      </c>
      <c r="D16" s="26"/>
      <c r="E16" s="27"/>
      <c r="F16" s="21">
        <f t="shared" si="3"/>
        <v>0</v>
      </c>
      <c r="G16" s="21">
        <f t="shared" si="0"/>
        <v>0</v>
      </c>
      <c r="H16" s="20"/>
      <c r="I16" s="20"/>
      <c r="J16" s="20"/>
      <c r="K16" s="20"/>
      <c r="L16" s="20"/>
      <c r="M16" s="22" t="e">
        <f t="shared" si="1"/>
        <v>#DIV/0!</v>
      </c>
      <c r="N16" s="23"/>
      <c r="O16" s="23"/>
      <c r="P16" s="23"/>
      <c r="Q16" s="24"/>
      <c r="R16" s="20">
        <f t="shared" si="2"/>
        <v>0</v>
      </c>
      <c r="S16" s="30"/>
      <c r="T16" s="30"/>
      <c r="U16" s="30"/>
    </row>
    <row r="17" spans="1:21" ht="12" customHeight="1">
      <c r="A17" s="90"/>
      <c r="B17" s="19" t="s">
        <v>93</v>
      </c>
      <c r="C17" s="20">
        <v>50</v>
      </c>
      <c r="D17" s="26"/>
      <c r="E17" s="27"/>
      <c r="F17" s="21">
        <f t="shared" si="3"/>
        <v>0</v>
      </c>
      <c r="G17" s="21">
        <f t="shared" si="0"/>
        <v>0</v>
      </c>
      <c r="H17" s="20"/>
      <c r="I17" s="20"/>
      <c r="J17" s="20"/>
      <c r="K17" s="20"/>
      <c r="L17" s="20"/>
      <c r="M17" s="22" t="e">
        <f t="shared" si="1"/>
        <v>#DIV/0!</v>
      </c>
      <c r="N17" s="23"/>
      <c r="O17" s="23"/>
      <c r="P17" s="23"/>
      <c r="Q17" s="24"/>
      <c r="R17" s="20">
        <f t="shared" si="2"/>
        <v>0</v>
      </c>
      <c r="S17" s="30"/>
      <c r="T17" s="30"/>
      <c r="U17" s="30"/>
    </row>
    <row r="18" spans="1:21" ht="12" customHeight="1">
      <c r="A18" s="90"/>
      <c r="B18" s="19" t="s">
        <v>94</v>
      </c>
      <c r="C18" s="20">
        <v>50</v>
      </c>
      <c r="D18" s="26"/>
      <c r="E18" s="27"/>
      <c r="F18" s="21">
        <f t="shared" si="3"/>
        <v>0</v>
      </c>
      <c r="G18" s="21">
        <f t="shared" si="0"/>
        <v>0</v>
      </c>
      <c r="H18" s="20"/>
      <c r="I18" s="20"/>
      <c r="J18" s="20"/>
      <c r="K18" s="20"/>
      <c r="L18" s="20"/>
      <c r="M18" s="22" t="e">
        <f t="shared" si="1"/>
        <v>#DIV/0!</v>
      </c>
      <c r="N18" s="23"/>
      <c r="O18" s="23"/>
      <c r="P18" s="23"/>
      <c r="Q18" s="24"/>
      <c r="R18" s="20">
        <f t="shared" si="2"/>
        <v>0</v>
      </c>
      <c r="S18" s="30"/>
      <c r="T18" s="30"/>
      <c r="U18" s="30"/>
    </row>
    <row r="19" spans="1:21" ht="12" customHeight="1">
      <c r="A19" s="90"/>
      <c r="B19" s="19" t="s">
        <v>95</v>
      </c>
      <c r="C19" s="20">
        <v>50</v>
      </c>
      <c r="D19" s="26"/>
      <c r="E19" s="27"/>
      <c r="F19" s="21">
        <f t="shared" si="3"/>
        <v>0</v>
      </c>
      <c r="G19" s="21">
        <f t="shared" si="0"/>
        <v>0</v>
      </c>
      <c r="H19" s="20"/>
      <c r="I19" s="20"/>
      <c r="J19" s="20"/>
      <c r="K19" s="20"/>
      <c r="L19" s="20"/>
      <c r="M19" s="22" t="e">
        <f t="shared" si="1"/>
        <v>#DIV/0!</v>
      </c>
      <c r="N19" s="23"/>
      <c r="O19" s="23"/>
      <c r="P19" s="23"/>
      <c r="Q19" s="24"/>
      <c r="R19" s="20">
        <f t="shared" si="2"/>
        <v>0</v>
      </c>
      <c r="S19" s="30"/>
      <c r="T19" s="30"/>
      <c r="U19" s="30"/>
    </row>
    <row r="20" spans="1:21" ht="12" customHeight="1">
      <c r="A20" s="90"/>
      <c r="B20" s="25" t="s">
        <v>96</v>
      </c>
      <c r="C20" s="20">
        <v>50</v>
      </c>
      <c r="D20" s="26"/>
      <c r="E20" s="27"/>
      <c r="F20" s="21">
        <f t="shared" si="3"/>
        <v>0</v>
      </c>
      <c r="G20" s="21">
        <f t="shared" si="0"/>
        <v>0</v>
      </c>
      <c r="H20" s="20"/>
      <c r="I20" s="20"/>
      <c r="J20" s="20"/>
      <c r="K20" s="20"/>
      <c r="L20" s="20"/>
      <c r="M20" s="22" t="e">
        <f t="shared" si="1"/>
        <v>#DIV/0!</v>
      </c>
      <c r="N20" s="23"/>
      <c r="O20" s="23"/>
      <c r="P20" s="23"/>
      <c r="Q20" s="24"/>
      <c r="R20" s="20">
        <f t="shared" si="2"/>
        <v>0</v>
      </c>
      <c r="S20" s="30"/>
      <c r="T20" s="30"/>
      <c r="U20" s="30"/>
    </row>
    <row r="21" spans="1:21" ht="12" customHeight="1">
      <c r="A21" s="90"/>
      <c r="B21" s="19" t="s">
        <v>97</v>
      </c>
      <c r="C21" s="20">
        <v>50</v>
      </c>
      <c r="D21" s="26"/>
      <c r="E21" s="27"/>
      <c r="F21" s="21">
        <f t="shared" si="3"/>
        <v>0</v>
      </c>
      <c r="G21" s="21">
        <f t="shared" si="0"/>
        <v>0</v>
      </c>
      <c r="H21" s="20"/>
      <c r="I21" s="20"/>
      <c r="J21" s="20"/>
      <c r="K21" s="20"/>
      <c r="L21" s="20"/>
      <c r="M21" s="22" t="e">
        <f t="shared" si="1"/>
        <v>#DIV/0!</v>
      </c>
      <c r="N21" s="23"/>
      <c r="O21" s="23"/>
      <c r="P21" s="23"/>
      <c r="Q21" s="24"/>
      <c r="R21" s="20">
        <f t="shared" si="2"/>
        <v>0</v>
      </c>
      <c r="S21" s="30"/>
      <c r="T21" s="30"/>
      <c r="U21" s="30"/>
    </row>
    <row r="22" spans="1:21" ht="12" customHeight="1">
      <c r="A22" s="90"/>
      <c r="B22" s="19" t="s">
        <v>98</v>
      </c>
      <c r="C22" s="20">
        <v>50</v>
      </c>
      <c r="D22" s="26"/>
      <c r="E22" s="27"/>
      <c r="F22" s="21">
        <f t="shared" si="3"/>
        <v>0</v>
      </c>
      <c r="G22" s="21">
        <f t="shared" si="0"/>
        <v>0</v>
      </c>
      <c r="H22" s="20"/>
      <c r="I22" s="20"/>
      <c r="J22" s="20"/>
      <c r="K22" s="20"/>
      <c r="L22" s="20"/>
      <c r="M22" s="22" t="e">
        <f t="shared" si="1"/>
        <v>#DIV/0!</v>
      </c>
      <c r="N22" s="23"/>
      <c r="O22" s="23"/>
      <c r="P22" s="23"/>
      <c r="Q22" s="24"/>
      <c r="R22" s="20">
        <f t="shared" si="2"/>
        <v>0</v>
      </c>
      <c r="S22" s="30"/>
      <c r="T22" s="30"/>
      <c r="U22" s="30"/>
    </row>
    <row r="23" spans="1:21" ht="12" customHeight="1">
      <c r="A23" s="90"/>
      <c r="B23" s="19" t="s">
        <v>99</v>
      </c>
      <c r="C23" s="20">
        <v>50</v>
      </c>
      <c r="D23" s="26"/>
      <c r="E23" s="27"/>
      <c r="F23" s="21">
        <f t="shared" si="3"/>
        <v>0</v>
      </c>
      <c r="G23" s="21">
        <f t="shared" si="0"/>
        <v>0</v>
      </c>
      <c r="H23" s="20"/>
      <c r="I23" s="20"/>
      <c r="J23" s="20"/>
      <c r="K23" s="20"/>
      <c r="L23" s="20"/>
      <c r="M23" s="22" t="e">
        <f t="shared" si="1"/>
        <v>#DIV/0!</v>
      </c>
      <c r="N23" s="23"/>
      <c r="O23" s="23"/>
      <c r="P23" s="23"/>
      <c r="Q23" s="24"/>
      <c r="R23" s="20">
        <f t="shared" si="2"/>
        <v>0</v>
      </c>
      <c r="S23" s="30"/>
      <c r="T23" s="30"/>
      <c r="U23" s="30"/>
    </row>
    <row r="24" spans="1:21" ht="12" customHeight="1">
      <c r="A24" s="90"/>
      <c r="B24" s="19" t="s">
        <v>100</v>
      </c>
      <c r="C24" s="20">
        <v>50</v>
      </c>
      <c r="D24" s="26"/>
      <c r="E24" s="27"/>
      <c r="F24" s="21">
        <f t="shared" si="3"/>
        <v>0</v>
      </c>
      <c r="G24" s="21">
        <f t="shared" si="0"/>
        <v>0</v>
      </c>
      <c r="H24" s="20"/>
      <c r="I24" s="20"/>
      <c r="J24" s="20"/>
      <c r="K24" s="20"/>
      <c r="L24" s="20"/>
      <c r="M24" s="22" t="e">
        <f t="shared" si="1"/>
        <v>#DIV/0!</v>
      </c>
      <c r="N24" s="23"/>
      <c r="O24" s="23"/>
      <c r="P24" s="23"/>
      <c r="Q24" s="24"/>
      <c r="R24" s="20">
        <f t="shared" si="2"/>
        <v>0</v>
      </c>
      <c r="S24" s="30"/>
      <c r="T24" s="30"/>
      <c r="U24" s="30"/>
    </row>
    <row r="25" spans="1:21" ht="12" customHeight="1">
      <c r="A25" s="90"/>
      <c r="B25" s="19" t="s">
        <v>101</v>
      </c>
      <c r="C25" s="20">
        <v>50</v>
      </c>
      <c r="D25" s="26"/>
      <c r="E25" s="27"/>
      <c r="F25" s="21">
        <f t="shared" si="3"/>
        <v>0</v>
      </c>
      <c r="G25" s="21">
        <f t="shared" si="0"/>
        <v>0</v>
      </c>
      <c r="H25" s="20"/>
      <c r="I25" s="20"/>
      <c r="J25" s="20"/>
      <c r="K25" s="20"/>
      <c r="L25" s="20"/>
      <c r="M25" s="22" t="e">
        <f t="shared" si="1"/>
        <v>#DIV/0!</v>
      </c>
      <c r="N25" s="23"/>
      <c r="O25" s="23"/>
      <c r="P25" s="23"/>
      <c r="Q25" s="24"/>
      <c r="R25" s="20">
        <f t="shared" si="2"/>
        <v>0</v>
      </c>
      <c r="S25" s="30"/>
      <c r="T25" s="30"/>
      <c r="U25" s="30"/>
    </row>
    <row r="26" spans="1:21" ht="12" customHeight="1">
      <c r="A26" s="90"/>
      <c r="B26" s="19" t="s">
        <v>102</v>
      </c>
      <c r="C26" s="20">
        <v>50</v>
      </c>
      <c r="D26" s="26"/>
      <c r="E26" s="27"/>
      <c r="F26" s="21">
        <f t="shared" si="3"/>
        <v>0</v>
      </c>
      <c r="G26" s="21">
        <f t="shared" si="0"/>
        <v>0</v>
      </c>
      <c r="H26" s="20"/>
      <c r="I26" s="20"/>
      <c r="J26" s="20"/>
      <c r="K26" s="20"/>
      <c r="L26" s="20"/>
      <c r="M26" s="22" t="e">
        <f t="shared" si="1"/>
        <v>#DIV/0!</v>
      </c>
      <c r="N26" s="23"/>
      <c r="O26" s="23"/>
      <c r="P26" s="23"/>
      <c r="Q26" s="24"/>
      <c r="R26" s="20">
        <f t="shared" si="2"/>
        <v>0</v>
      </c>
      <c r="S26" s="30"/>
      <c r="T26" s="30"/>
      <c r="U26" s="30"/>
    </row>
    <row r="27" spans="1:21" ht="12" customHeight="1">
      <c r="A27" s="90"/>
      <c r="B27" s="19" t="s">
        <v>103</v>
      </c>
      <c r="C27" s="20">
        <v>50</v>
      </c>
      <c r="D27" s="26"/>
      <c r="E27" s="27"/>
      <c r="F27" s="21">
        <f t="shared" si="3"/>
        <v>0</v>
      </c>
      <c r="G27" s="21">
        <f t="shared" si="0"/>
        <v>0</v>
      </c>
      <c r="H27" s="20"/>
      <c r="I27" s="20"/>
      <c r="J27" s="20"/>
      <c r="K27" s="20"/>
      <c r="L27" s="20"/>
      <c r="M27" s="22" t="e">
        <f t="shared" si="1"/>
        <v>#DIV/0!</v>
      </c>
      <c r="N27" s="23"/>
      <c r="O27" s="23"/>
      <c r="P27" s="23"/>
      <c r="Q27" s="24"/>
      <c r="R27" s="20">
        <f t="shared" si="2"/>
        <v>0</v>
      </c>
      <c r="S27" s="30"/>
      <c r="T27" s="30"/>
      <c r="U27" s="30"/>
    </row>
    <row r="28" spans="1:21" ht="12" customHeight="1">
      <c r="A28" s="90"/>
      <c r="B28" s="19" t="s">
        <v>104</v>
      </c>
      <c r="C28" s="20">
        <v>50</v>
      </c>
      <c r="D28" s="26"/>
      <c r="E28" s="27"/>
      <c r="F28" s="21">
        <f t="shared" si="3"/>
        <v>0</v>
      </c>
      <c r="G28" s="21">
        <f t="shared" si="0"/>
        <v>0</v>
      </c>
      <c r="H28" s="20"/>
      <c r="I28" s="20"/>
      <c r="J28" s="20"/>
      <c r="K28" s="20"/>
      <c r="L28" s="20"/>
      <c r="M28" s="22" t="e">
        <f t="shared" si="1"/>
        <v>#DIV/0!</v>
      </c>
      <c r="N28" s="23"/>
      <c r="O28" s="23"/>
      <c r="P28" s="23"/>
      <c r="Q28" s="24"/>
      <c r="R28" s="20">
        <f t="shared" si="2"/>
        <v>0</v>
      </c>
      <c r="S28" s="30"/>
      <c r="T28" s="30"/>
      <c r="U28" s="30"/>
    </row>
    <row r="29" spans="1:21" ht="12" customHeight="1">
      <c r="A29" s="90"/>
      <c r="B29" s="19" t="s">
        <v>106</v>
      </c>
      <c r="C29" s="20">
        <v>50</v>
      </c>
      <c r="D29" s="26"/>
      <c r="E29" s="27"/>
      <c r="F29" s="21">
        <f t="shared" si="3"/>
        <v>0</v>
      </c>
      <c r="G29" s="21">
        <f t="shared" si="0"/>
        <v>0</v>
      </c>
      <c r="H29" s="20"/>
      <c r="I29" s="20"/>
      <c r="J29" s="20"/>
      <c r="K29" s="20"/>
      <c r="L29" s="20"/>
      <c r="M29" s="22" t="e">
        <f t="shared" si="1"/>
        <v>#DIV/0!</v>
      </c>
      <c r="N29" s="23"/>
      <c r="O29" s="23"/>
      <c r="P29" s="23"/>
      <c r="Q29" s="24"/>
      <c r="R29" s="20">
        <f t="shared" si="2"/>
        <v>0</v>
      </c>
      <c r="S29" s="30"/>
      <c r="T29" s="30"/>
      <c r="U29" s="30"/>
    </row>
  </sheetData>
  <sheetProtection/>
  <mergeCells count="22">
    <mergeCell ref="Q1:R1"/>
    <mergeCell ref="C2:C3"/>
    <mergeCell ref="J2:J3"/>
    <mergeCell ref="R2:R3"/>
    <mergeCell ref="U2:U3"/>
    <mergeCell ref="M2:M3"/>
    <mergeCell ref="N2:N3"/>
    <mergeCell ref="A5:B5"/>
    <mergeCell ref="L2:L3"/>
    <mergeCell ref="P2:P3"/>
    <mergeCell ref="Q2:Q3"/>
    <mergeCell ref="A2:B4"/>
    <mergeCell ref="A7:A29"/>
    <mergeCell ref="O2:O3"/>
    <mergeCell ref="S2:T2"/>
    <mergeCell ref="H2:I2"/>
    <mergeCell ref="A6:U6"/>
    <mergeCell ref="D2:D3"/>
    <mergeCell ref="E2:E3"/>
    <mergeCell ref="F2:F3"/>
    <mergeCell ref="G2:G3"/>
    <mergeCell ref="K2:K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115" zoomScaleNormal="115" zoomScalePageLayoutView="0" workbookViewId="0" topLeftCell="A1">
      <selection activeCell="P13" sqref="P13"/>
    </sheetView>
  </sheetViews>
  <sheetFormatPr defaultColWidth="9.140625" defaultRowHeight="12.75"/>
  <cols>
    <col min="1" max="2" width="4.7109375" style="34" customWidth="1"/>
    <col min="3" max="3" width="7.140625" style="34" customWidth="1"/>
    <col min="4" max="4" width="6.140625" style="34" customWidth="1"/>
    <col min="5" max="5" width="5.8515625" style="34" customWidth="1"/>
    <col min="6" max="6" width="6.7109375" style="34" customWidth="1"/>
    <col min="7" max="7" width="7.421875" style="34" customWidth="1"/>
    <col min="8" max="9" width="6.57421875" style="34" customWidth="1"/>
    <col min="10" max="10" width="6.00390625" style="34" customWidth="1"/>
    <col min="11" max="12" width="5.140625" style="34" customWidth="1"/>
    <col min="13" max="13" width="6.00390625" style="34" customWidth="1"/>
    <col min="14" max="14" width="5.57421875" style="34" customWidth="1"/>
    <col min="15" max="15" width="4.7109375" style="34" customWidth="1"/>
    <col min="16" max="16" width="7.00390625" style="34" customWidth="1"/>
    <col min="17" max="21" width="4.7109375" style="34" customWidth="1"/>
    <col min="22" max="22" width="5.28125" style="34" customWidth="1"/>
    <col min="23" max="16384" width="9.140625" style="34" customWidth="1"/>
  </cols>
  <sheetData>
    <row r="1" spans="1:16" ht="18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7" ht="15.75">
      <c r="A2" s="34" t="s">
        <v>70</v>
      </c>
      <c r="G2" s="35"/>
    </row>
    <row r="4" spans="1:13" ht="15.75">
      <c r="A4" s="34" t="s">
        <v>148</v>
      </c>
      <c r="F4" s="36">
        <v>1</v>
      </c>
      <c r="G4" s="37" t="s">
        <v>34</v>
      </c>
      <c r="I4" s="38" t="s">
        <v>38</v>
      </c>
      <c r="J4" s="38">
        <v>1.4</v>
      </c>
      <c r="K4" s="39"/>
      <c r="L4" s="38" t="s">
        <v>40</v>
      </c>
      <c r="M4" s="38">
        <v>1.15</v>
      </c>
    </row>
    <row r="5" spans="1:13" ht="15.75">
      <c r="A5" s="34" t="s">
        <v>67</v>
      </c>
      <c r="F5" s="36">
        <v>100</v>
      </c>
      <c r="G5" s="37" t="s">
        <v>35</v>
      </c>
      <c r="I5" s="38" t="s">
        <v>39</v>
      </c>
      <c r="J5" s="38">
        <v>2.6</v>
      </c>
      <c r="K5" s="39"/>
      <c r="L5" s="38" t="s">
        <v>41</v>
      </c>
      <c r="M5" s="38">
        <v>1.05</v>
      </c>
    </row>
    <row r="6" spans="6:7" ht="15.75">
      <c r="F6" s="40"/>
      <c r="G6" s="37"/>
    </row>
    <row r="7" ht="15.75">
      <c r="A7" s="34" t="s">
        <v>151</v>
      </c>
    </row>
    <row r="8" ht="15.75">
      <c r="A8" s="34" t="s">
        <v>37</v>
      </c>
    </row>
    <row r="10" spans="1:12" ht="15.75">
      <c r="A10" s="41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9" ht="15.75">
      <c r="A11" s="34" t="s">
        <v>64</v>
      </c>
      <c r="G11" s="43">
        <f>(F4*F5)/1000</f>
        <v>0.1</v>
      </c>
      <c r="H11" s="34" t="s">
        <v>36</v>
      </c>
      <c r="I11" s="44"/>
    </row>
    <row r="12" spans="1:9" ht="15.75">
      <c r="A12" s="34" t="s">
        <v>65</v>
      </c>
      <c r="G12" s="43">
        <f>J4*G11</f>
        <v>0.13999999999999999</v>
      </c>
      <c r="H12" s="34" t="s">
        <v>36</v>
      </c>
      <c r="I12" s="45"/>
    </row>
    <row r="13" spans="1:10" ht="15.75">
      <c r="A13" s="34" t="s">
        <v>68</v>
      </c>
      <c r="G13" s="43">
        <f>(J5*G12)/24</f>
        <v>0.015166666666666667</v>
      </c>
      <c r="H13" s="34" t="s">
        <v>152</v>
      </c>
      <c r="I13" s="46">
        <f>G13/3.6</f>
        <v>0.004212962962962963</v>
      </c>
      <c r="J13" s="34" t="s">
        <v>16</v>
      </c>
    </row>
    <row r="15" spans="1:12" ht="15.75">
      <c r="A15" s="41" t="s">
        <v>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0" ht="15.75">
      <c r="A16" s="34" t="s">
        <v>3</v>
      </c>
      <c r="G16" s="43">
        <f>M4*M5*G11</f>
        <v>0.12075000000000001</v>
      </c>
      <c r="H16" s="34" t="s">
        <v>36</v>
      </c>
      <c r="I16" s="44"/>
      <c r="J16" s="46"/>
    </row>
    <row r="17" spans="1:14" ht="15.75">
      <c r="A17" s="34" t="s">
        <v>149</v>
      </c>
      <c r="G17" s="43">
        <f>J4*G16</f>
        <v>0.16905</v>
      </c>
      <c r="H17" s="44" t="s">
        <v>36</v>
      </c>
      <c r="I17" s="44"/>
      <c r="J17" s="46"/>
      <c r="N17" s="44"/>
    </row>
    <row r="18" spans="1:10" ht="15.75">
      <c r="A18" s="34" t="s">
        <v>66</v>
      </c>
      <c r="G18" s="43">
        <f>(J5*G17)/24</f>
        <v>0.01831375</v>
      </c>
      <c r="H18" s="44" t="s">
        <v>63</v>
      </c>
      <c r="I18" s="34">
        <f>G18/3.6</f>
        <v>0.005087152777777778</v>
      </c>
      <c r="J18" s="47" t="s">
        <v>16</v>
      </c>
    </row>
    <row r="19" spans="1:10" ht="15.75">
      <c r="A19" s="34" t="s">
        <v>69</v>
      </c>
      <c r="G19" s="43">
        <f>(0.1*G17)/24</f>
        <v>0.000704375</v>
      </c>
      <c r="H19" s="44" t="s">
        <v>63</v>
      </c>
      <c r="I19" s="48">
        <f>G19/3.6</f>
        <v>0.00019565972222222223</v>
      </c>
      <c r="J19" s="47" t="s">
        <v>16</v>
      </c>
    </row>
    <row r="21" spans="1:12" ht="15.75">
      <c r="A21" s="41" t="s">
        <v>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ht="16.5" thickBot="1">
      <c r="A22" s="34" t="s">
        <v>5</v>
      </c>
    </row>
    <row r="23" spans="3:7" ht="15" customHeight="1">
      <c r="C23" s="49" t="s">
        <v>6</v>
      </c>
      <c r="D23" s="50"/>
      <c r="E23" s="50"/>
      <c r="F23" s="51">
        <f>G16</f>
        <v>0.12075000000000001</v>
      </c>
      <c r="G23" s="52" t="s">
        <v>36</v>
      </c>
    </row>
    <row r="24" spans="3:7" ht="15" customHeight="1">
      <c r="C24" s="53" t="s">
        <v>9</v>
      </c>
      <c r="D24" s="54"/>
      <c r="E24" s="54"/>
      <c r="F24" s="55">
        <f>G17</f>
        <v>0.16905</v>
      </c>
      <c r="G24" s="56" t="s">
        <v>36</v>
      </c>
    </row>
    <row r="25" spans="3:7" ht="15" customHeight="1">
      <c r="C25" s="53" t="s">
        <v>8</v>
      </c>
      <c r="D25" s="54"/>
      <c r="E25" s="54"/>
      <c r="F25" s="55">
        <f>I18</f>
        <v>0.005087152777777778</v>
      </c>
      <c r="G25" s="56" t="s">
        <v>16</v>
      </c>
    </row>
    <row r="26" spans="3:7" ht="15" customHeight="1" thickBot="1">
      <c r="C26" s="57" t="s">
        <v>7</v>
      </c>
      <c r="D26" s="58"/>
      <c r="E26" s="58"/>
      <c r="F26" s="59">
        <f>I19</f>
        <v>0.00019565972222222223</v>
      </c>
      <c r="G26" s="60" t="s">
        <v>16</v>
      </c>
    </row>
    <row r="28" spans="1:12" ht="15.75">
      <c r="A28" s="41" t="s">
        <v>10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ht="15.75">
      <c r="A29" s="34" t="s">
        <v>11</v>
      </c>
    </row>
    <row r="30" ht="15.75">
      <c r="A30" s="34" t="s">
        <v>12</v>
      </c>
    </row>
    <row r="32" ht="15.75">
      <c r="A32" s="61" t="s">
        <v>13</v>
      </c>
    </row>
    <row r="33" spans="1:10" ht="15.75">
      <c r="A33" s="34" t="s">
        <v>43</v>
      </c>
      <c r="G33" s="62">
        <f>(70*F4)/(F25*86400)</f>
        <v>0.1592610288262462</v>
      </c>
      <c r="H33" s="34" t="s">
        <v>44</v>
      </c>
      <c r="I33" s="63">
        <f>G33*1000</f>
        <v>159.26102882624622</v>
      </c>
      <c r="J33" s="34" t="s">
        <v>19</v>
      </c>
    </row>
    <row r="34" spans="1:16" ht="15.75">
      <c r="A34" s="34" t="s">
        <v>45</v>
      </c>
      <c r="E34" s="44">
        <f>0.07*F4</f>
        <v>0.07</v>
      </c>
      <c r="F34" s="34" t="s">
        <v>46</v>
      </c>
      <c r="P34" s="64"/>
    </row>
    <row r="35" ht="15.75">
      <c r="P35" s="64"/>
    </row>
    <row r="36" spans="1:16" ht="15.75">
      <c r="A36" s="61" t="s">
        <v>14</v>
      </c>
      <c r="P36" s="64"/>
    </row>
    <row r="37" spans="1:10" ht="15.75">
      <c r="A37" s="34" t="s">
        <v>47</v>
      </c>
      <c r="G37" s="62">
        <f>(65*F4)/(F25*86400)</f>
        <v>0.1478852410529429</v>
      </c>
      <c r="H37" s="34" t="s">
        <v>44</v>
      </c>
      <c r="I37" s="63">
        <f>G37*1000</f>
        <v>147.8852410529429</v>
      </c>
      <c r="J37" s="34" t="s">
        <v>19</v>
      </c>
    </row>
    <row r="38" spans="1:6" ht="15.75">
      <c r="A38" s="34" t="s">
        <v>48</v>
      </c>
      <c r="E38" s="44">
        <f>0.065*F4</f>
        <v>0.065</v>
      </c>
      <c r="F38" s="34" t="s">
        <v>46</v>
      </c>
    </row>
    <row r="40" ht="16.5" thickBot="1">
      <c r="A40" s="61" t="s">
        <v>15</v>
      </c>
    </row>
    <row r="41" spans="1:13" ht="15.75">
      <c r="A41" s="65" t="s">
        <v>21</v>
      </c>
      <c r="B41" s="66"/>
      <c r="C41" s="67"/>
      <c r="D41" s="68" t="s">
        <v>22</v>
      </c>
      <c r="E41" s="69"/>
      <c r="F41" s="70"/>
      <c r="G41" s="66" t="s">
        <v>17</v>
      </c>
      <c r="H41" s="66"/>
      <c r="I41" s="67"/>
      <c r="J41" s="70"/>
      <c r="K41" s="66" t="s">
        <v>23</v>
      </c>
      <c r="L41" s="66"/>
      <c r="M41" s="71"/>
    </row>
    <row r="42" spans="1:13" ht="15.75">
      <c r="A42" s="72" t="s">
        <v>24</v>
      </c>
      <c r="B42" s="73"/>
      <c r="C42" s="74"/>
      <c r="D42" s="120" t="s">
        <v>16</v>
      </c>
      <c r="E42" s="121"/>
      <c r="F42" s="112" t="s">
        <v>18</v>
      </c>
      <c r="G42" s="113"/>
      <c r="H42" s="112" t="s">
        <v>19</v>
      </c>
      <c r="I42" s="113"/>
      <c r="J42" s="112" t="s">
        <v>18</v>
      </c>
      <c r="K42" s="113"/>
      <c r="L42" s="112" t="s">
        <v>19</v>
      </c>
      <c r="M42" s="114"/>
    </row>
    <row r="43" spans="1:13" ht="16.5" thickBot="1">
      <c r="A43" s="75" t="s">
        <v>20</v>
      </c>
      <c r="B43" s="76"/>
      <c r="C43" s="77"/>
      <c r="D43" s="115">
        <f>F25</f>
        <v>0.005087152777777778</v>
      </c>
      <c r="E43" s="116"/>
      <c r="F43" s="117">
        <f>E34</f>
        <v>0.07</v>
      </c>
      <c r="G43" s="118"/>
      <c r="H43" s="117">
        <f>I33</f>
        <v>159.26102882624622</v>
      </c>
      <c r="I43" s="118"/>
      <c r="J43" s="117">
        <f>E38</f>
        <v>0.065</v>
      </c>
      <c r="K43" s="118"/>
      <c r="L43" s="117">
        <f>I37</f>
        <v>147.8852410529429</v>
      </c>
      <c r="M43" s="119"/>
    </row>
    <row r="45" spans="1:2" ht="15.75">
      <c r="A45" s="61" t="s">
        <v>25</v>
      </c>
      <c r="B45" s="78"/>
    </row>
    <row r="46" ht="15.75">
      <c r="A46" s="34" t="s">
        <v>26</v>
      </c>
    </row>
    <row r="47" spans="4:7" ht="15.75">
      <c r="D47" s="34" t="s">
        <v>27</v>
      </c>
      <c r="F47" s="44">
        <f>E38</f>
        <v>0.065</v>
      </c>
      <c r="G47" s="34" t="s">
        <v>46</v>
      </c>
    </row>
    <row r="48" ht="15.75">
      <c r="F48" s="44"/>
    </row>
    <row r="49" ht="15.75">
      <c r="A49" s="34" t="s">
        <v>28</v>
      </c>
    </row>
    <row r="50" spans="4:11" ht="15.75">
      <c r="D50" s="34" t="s">
        <v>49</v>
      </c>
      <c r="F50" s="34">
        <f>F47</f>
        <v>0.065</v>
      </c>
      <c r="G50" s="34" t="str">
        <f>G47</f>
        <v>kg/zi</v>
      </c>
      <c r="H50" s="34" t="s">
        <v>50</v>
      </c>
      <c r="J50" s="79">
        <f>F47*(1-0.3)</f>
        <v>0.0455</v>
      </c>
      <c r="K50" s="34" t="s">
        <v>46</v>
      </c>
    </row>
    <row r="52" ht="15.75">
      <c r="A52" s="34" t="s">
        <v>150</v>
      </c>
    </row>
    <row r="53" ht="15.75">
      <c r="A53" s="34" t="s">
        <v>51</v>
      </c>
    </row>
    <row r="54" ht="15.75">
      <c r="A54" s="34" t="s">
        <v>52</v>
      </c>
    </row>
    <row r="55" spans="4:12" ht="15.75">
      <c r="D55" s="34" t="s">
        <v>53</v>
      </c>
      <c r="G55" s="44">
        <f>F24</f>
        <v>0.16905</v>
      </c>
      <c r="H55" s="34" t="s">
        <v>54</v>
      </c>
      <c r="K55" s="80">
        <f>20*G55/1000</f>
        <v>0.0033810000000000003</v>
      </c>
      <c r="L55" s="34" t="s">
        <v>46</v>
      </c>
    </row>
    <row r="57" ht="15.75">
      <c r="A57" s="34" t="s">
        <v>29</v>
      </c>
    </row>
    <row r="58" spans="4:14" ht="15.75">
      <c r="D58" s="34" t="s">
        <v>60</v>
      </c>
      <c r="F58" s="44">
        <f>F47</f>
        <v>0.065</v>
      </c>
      <c r="G58" s="46" t="s">
        <v>55</v>
      </c>
      <c r="H58" s="80">
        <f>K55</f>
        <v>0.0033810000000000003</v>
      </c>
      <c r="I58" s="34" t="s">
        <v>56</v>
      </c>
      <c r="J58" s="44">
        <f>F47</f>
        <v>0.065</v>
      </c>
      <c r="K58" s="34" t="s">
        <v>57</v>
      </c>
      <c r="M58" s="81">
        <f>(F47-K55)/F47*100</f>
        <v>94.79846153846154</v>
      </c>
      <c r="N58" s="82" t="s">
        <v>58</v>
      </c>
    </row>
    <row r="60" ht="15.75">
      <c r="A60" s="34" t="s">
        <v>30</v>
      </c>
    </row>
    <row r="61" spans="4:14" ht="15.75">
      <c r="D61" s="34" t="s">
        <v>59</v>
      </c>
      <c r="F61" s="45">
        <f>J50</f>
        <v>0.0455</v>
      </c>
      <c r="G61" s="46" t="s">
        <v>55</v>
      </c>
      <c r="H61" s="81">
        <f>K55</f>
        <v>0.0033810000000000003</v>
      </c>
      <c r="I61" s="34" t="s">
        <v>56</v>
      </c>
      <c r="J61" s="45">
        <f>J50</f>
        <v>0.0455</v>
      </c>
      <c r="K61" s="34" t="s">
        <v>57</v>
      </c>
      <c r="M61" s="34">
        <f>(J50-K55)/J50*100</f>
        <v>92.56923076923076</v>
      </c>
      <c r="N61" s="82" t="s">
        <v>58</v>
      </c>
    </row>
    <row r="63" spans="1:12" ht="15.75">
      <c r="A63" s="83" t="s">
        <v>31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4:10" ht="15.75">
      <c r="D64" s="34" t="s">
        <v>32</v>
      </c>
      <c r="G64" s="34" t="s">
        <v>61</v>
      </c>
      <c r="H64" s="44">
        <f>F24</f>
        <v>0.16905</v>
      </c>
      <c r="I64" s="46" t="s">
        <v>42</v>
      </c>
      <c r="J64" s="34">
        <f>0.3*H64</f>
        <v>0.050715</v>
      </c>
    </row>
    <row r="65" spans="4:11" ht="15.75">
      <c r="D65" s="34" t="s">
        <v>33</v>
      </c>
      <c r="E65" s="78"/>
      <c r="F65" s="78"/>
      <c r="G65" s="78"/>
      <c r="H65" s="78"/>
      <c r="I65" s="78"/>
      <c r="J65" s="44">
        <f>FLOOR(J64,50)</f>
        <v>0</v>
      </c>
      <c r="K65" s="34" t="s">
        <v>62</v>
      </c>
    </row>
  </sheetData>
  <sheetProtection/>
  <mergeCells count="11">
    <mergeCell ref="F42:G42"/>
    <mergeCell ref="A1:P1"/>
    <mergeCell ref="H42:I42"/>
    <mergeCell ref="J42:K42"/>
    <mergeCell ref="L42:M42"/>
    <mergeCell ref="D43:E43"/>
    <mergeCell ref="F43:G43"/>
    <mergeCell ref="H43:I43"/>
    <mergeCell ref="J43:K43"/>
    <mergeCell ref="L43:M43"/>
    <mergeCell ref="D42:E42"/>
  </mergeCells>
  <printOptions/>
  <pageMargins left="0.4330708661417323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Caziuc Stefan</cp:lastModifiedBy>
  <cp:lastPrinted>2017-10-26T09:48:37Z</cp:lastPrinted>
  <dcterms:created xsi:type="dcterms:W3CDTF">2009-02-04T10:10:31Z</dcterms:created>
  <dcterms:modified xsi:type="dcterms:W3CDTF">2021-08-24T12:11:38Z</dcterms:modified>
  <cp:category/>
  <cp:version/>
  <cp:contentType/>
  <cp:contentStatus/>
</cp:coreProperties>
</file>